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<sst xmlns="http://schemas.openxmlformats.org/spreadsheetml/2006/main" count="166" uniqueCount="119">
  <si>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</si>
  <si>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</si>
  <si>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</si>
  <si>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</si>
  <si>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</si>
  <si>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</si>
  <si>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</si>
  <si>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</si>
  <si>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</si>
  <si>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</si>
  <si>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</si>
  <si>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</si>
  <si>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</si>
  <si>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</si>
  <si>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</si>
  <si>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</si>
  <si>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</si>
  <si>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</si>
  <si>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</si>
  <si>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</si>
  <si>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</si>
  <si>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</si>
  <si>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</si>
  <si>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</si>
  <si>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</si>
  <si>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</si>
  <si>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</si>
  <si>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</si>
  <si>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</si>
  <si>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</si>
  <si>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</si>
  <si>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</si>
  <si>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</si>
  <si>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</si>
  <si>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</si>
  <si>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</si>
  <si>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</si>
  <si>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</si>
  <si>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</si>
  <si>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</si>
  <si>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</si>
  <si>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</si>
  <si>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</si>
  <si>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</si>
  <si>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</si>
  <si>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</si>
  <si>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</si>
  <si>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</si>
  <si>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</si>
  <si>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</si>
  <si>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</si>
  <si>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</si>
  <si>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</si>
  <si>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</si>
  <si>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</si>
  <si>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</si>
  <si>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</si>
  <si>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</si>
  <si>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</si>
  <si>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</si>
  <si>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</si>
  <si>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</si>
  <si>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</si>
  <si>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</si>
  <si>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</si>
  <si>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</si>
  <si>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</si>
  <si>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</si>
  <si>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</si>
  <si>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</si>
  <si>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</si>
  <si>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</si>
  <si>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</si>
  <si>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</si>
  <si>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</si>
  <si>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</si>
  <si>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</si>
  <si>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</si>
  <si>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</si>
  <si>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</si>
  <si>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</si>
  <si>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</si>
  <si>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</si>
  <si>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</si>
  <si>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</si>
  <si>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</si>
  <si>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</si>
  <si>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</si>
  <si>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</si>
  <si>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</si>
  <si>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</si>
  <si>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</si>
  <si>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</si>
  <si>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</si>
  <si>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</si>
  <si>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</si>
  <si>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</si>
  <si>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</si>
  <si>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</si>
  <si>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</si>
  <si>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</si>
  <si>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</si>
  <si>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</si>
  <si>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</si>
  <si>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</si>
  <si>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</si>
  <si>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</si>
  <si>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</si>
  <si>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</si>
  <si>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</si>
  <si>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</si>
  <si>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</si>
  <si>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</si>
  <si>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</si>
  <si>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</si>
  <si>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</si>
  <si>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</si>
  <si>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</si>
  <si>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2015 рік станом на 08.04.2015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</si>
</sst>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29423967"/>
        <c:axId val="63489112"/>
      </c:bar3D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89112"/>
        <c:crosses val="autoZero"/>
        <c:auto val="1"/>
        <c:lblOffset val="100"/>
        <c:tickLblSkip val="1"/>
        <c:noMultiLvlLbl val="0"/>
      </c:catAx>
      <c:valAx>
        <c:axId val="63489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39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34531097"/>
        <c:axId val="42344418"/>
      </c:bar3DChart>
      <c:catAx>
        <c:axId val="3453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44418"/>
        <c:crosses val="autoZero"/>
        <c:auto val="1"/>
        <c:lblOffset val="100"/>
        <c:tickLblSkip val="1"/>
        <c:noMultiLvlLbl val="0"/>
      </c:catAx>
      <c:valAx>
        <c:axId val="42344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0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45555443"/>
        <c:axId val="7345804"/>
      </c:bar3D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45804"/>
        <c:crosses val="autoZero"/>
        <c:auto val="1"/>
        <c:lblOffset val="100"/>
        <c:tickLblSkip val="1"/>
        <c:noMultiLvlLbl val="0"/>
      </c:catAx>
      <c:valAx>
        <c:axId val="7345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554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66112237"/>
        <c:axId val="58139222"/>
      </c:bar3DChart>
      <c:catAx>
        <c:axId val="661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39222"/>
        <c:crosses val="autoZero"/>
        <c:auto val="1"/>
        <c:lblOffset val="100"/>
        <c:tickLblSkip val="1"/>
        <c:noMultiLvlLbl val="0"/>
      </c:catAx>
      <c:valAx>
        <c:axId val="58139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53490951"/>
        <c:axId val="11656512"/>
      </c:bar3D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56512"/>
        <c:crosses val="autoZero"/>
        <c:auto val="1"/>
        <c:lblOffset val="100"/>
        <c:tickLblSkip val="2"/>
        <c:noMultiLvlLbl val="0"/>
      </c:catAx>
      <c:valAx>
        <c:axId val="11656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09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37799745"/>
        <c:axId val="4653386"/>
      </c:bar3D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3386"/>
        <c:crosses val="autoZero"/>
        <c:auto val="1"/>
        <c:lblOffset val="100"/>
        <c:tickLblSkip val="1"/>
        <c:noMultiLvlLbl val="0"/>
      </c:catAx>
      <c:valAx>
        <c:axId val="4653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997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41880475"/>
        <c:axId val="41379956"/>
      </c:bar3D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804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36875285"/>
        <c:axId val="63442110"/>
      </c:bar3D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52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34108079"/>
        <c:axId val="38537256"/>
      </c:bar3D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08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115</v>
      </c>
      <c r="C3" s="151" t="s">
        <v>104</v>
      </c>
      <c r="D3" s="151" t="s">
        <v>29</v>
      </c>
      <c r="E3" s="151" t="s">
        <v>28</v>
      </c>
      <c r="F3" s="151" t="s">
        <v>116</v>
      </c>
      <c r="G3" s="151" t="s">
        <v>105</v>
      </c>
      <c r="H3" s="151" t="s">
        <v>117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114258.5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</f>
        <v>81911.40000000001</v>
      </c>
      <c r="E6" s="3">
        <f>D6/D144*100</f>
        <v>36.49030802621591</v>
      </c>
      <c r="F6" s="3">
        <f>D6/B6*100</f>
        <v>71.68954607315868</v>
      </c>
      <c r="G6" s="3">
        <f aca="true" t="shared" si="0" ref="G6:G43">D6/C6*100</f>
        <v>24.269426023514665</v>
      </c>
      <c r="H6" s="3">
        <f>B6-D6</f>
        <v>32347.09999999999</v>
      </c>
      <c r="I6" s="3">
        <f aca="true" t="shared" si="1" ref="I6:I43">C6-D6</f>
        <v>255597.19999999995</v>
      </c>
    </row>
    <row r="7" spans="1:9" s="44" customFormat="1" ht="18.75">
      <c r="A7" s="119" t="s">
        <v>107</v>
      </c>
      <c r="B7" s="120">
        <v>53092.9</v>
      </c>
      <c r="C7" s="121">
        <v>179936.4</v>
      </c>
      <c r="D7" s="122">
        <f>17278.1+34.8+43.3+5046.6+1441.7+293+463.5+4876.3+308.3+631.3+5138.7+0.1+2292.2+271.4</f>
        <v>38119.29999999999</v>
      </c>
      <c r="E7" s="123">
        <f>D7/D6*100</f>
        <v>46.53723413346614</v>
      </c>
      <c r="F7" s="108">
        <f>D7/B7*100</f>
        <v>71.79735896890166</v>
      </c>
      <c r="G7" s="108">
        <f>D7/C7*100</f>
        <v>21.18487421111014</v>
      </c>
      <c r="H7" s="108">
        <f>B7-D7</f>
        <v>14973.600000000013</v>
      </c>
      <c r="I7" s="108">
        <f t="shared" si="1"/>
        <v>141817.1</v>
      </c>
    </row>
    <row r="8" spans="1:9" ht="18">
      <c r="A8" s="29" t="s">
        <v>3</v>
      </c>
      <c r="B8" s="49">
        <v>81208.5</v>
      </c>
      <c r="C8" s="50">
        <v>251964.7</v>
      </c>
      <c r="D8" s="51">
        <f>2656.8+4544.7+5310.3+304.5+4240.2+2115.7+0.5+13.7+8260.2+9928.8+1441.7+7980.3+10682.7+0.1+0.1+1665.8</f>
        <v>59146.100000000006</v>
      </c>
      <c r="E8" s="1">
        <f>D8/D6*100</f>
        <v>72.20740946925581</v>
      </c>
      <c r="F8" s="1">
        <f>D8/B8*100</f>
        <v>72.8324005492036</v>
      </c>
      <c r="G8" s="1">
        <f t="shared" si="0"/>
        <v>23.473962820982464</v>
      </c>
      <c r="H8" s="1">
        <f>B8-D8</f>
        <v>22062.399999999994</v>
      </c>
      <c r="I8" s="1">
        <f t="shared" si="1"/>
        <v>192818.6</v>
      </c>
    </row>
    <row r="9" spans="1:9" ht="18">
      <c r="A9" s="29" t="s">
        <v>2</v>
      </c>
      <c r="B9" s="49">
        <v>14.6</v>
      </c>
      <c r="C9" s="50">
        <v>45.2</v>
      </c>
      <c r="D9" s="51">
        <f>0.3+0.2</f>
        <v>0.5</v>
      </c>
      <c r="E9" s="12">
        <f>D9/D6*100</f>
        <v>0.0006104156442204626</v>
      </c>
      <c r="F9" s="149">
        <f>D9/B9*100</f>
        <v>3.4246575342465753</v>
      </c>
      <c r="G9" s="1">
        <f t="shared" si="0"/>
        <v>1.1061946902654867</v>
      </c>
      <c r="H9" s="1">
        <f aca="true" t="shared" si="2" ref="H9:H43">B9-D9</f>
        <v>14.1</v>
      </c>
      <c r="I9" s="1">
        <f t="shared" si="1"/>
        <v>44.7</v>
      </c>
    </row>
    <row r="10" spans="1:9" ht="18">
      <c r="A10" s="29" t="s">
        <v>1</v>
      </c>
      <c r="B10" s="49">
        <v>8148.8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</f>
        <v>4938.700000000001</v>
      </c>
      <c r="E10" s="1">
        <f>D10/D6*100</f>
        <v>6.029319484223198</v>
      </c>
      <c r="F10" s="1">
        <f aca="true" t="shared" si="3" ref="F10:F41">D10/B10*100</f>
        <v>60.606469664245054</v>
      </c>
      <c r="G10" s="1">
        <f t="shared" si="0"/>
        <v>22.337355718782796</v>
      </c>
      <c r="H10" s="1">
        <f t="shared" si="2"/>
        <v>3210.0999999999995</v>
      </c>
      <c r="I10" s="1">
        <f t="shared" si="1"/>
        <v>17170.899999999998</v>
      </c>
    </row>
    <row r="11" spans="1:9" ht="18">
      <c r="A11" s="29" t="s">
        <v>0</v>
      </c>
      <c r="B11" s="49">
        <v>22971.7</v>
      </c>
      <c r="C11" s="50">
        <v>59404.7</v>
      </c>
      <c r="D11" s="56">
        <f>710.3+17.9+0.2+17+333.3+17.1+16+76.8+12.9+141.2+71+247.3+17.2+2.5+2414.8+355.4+677.9+3904.9+275.6+783.8+1761.8+627.5+1607.1+421.9+578.4+120.9-0.2+227.1+1199.6+183.7</f>
        <v>16820.899999999998</v>
      </c>
      <c r="E11" s="1">
        <f>D11/D6*100</f>
        <v>20.535481019735954</v>
      </c>
      <c r="F11" s="1">
        <f t="shared" si="3"/>
        <v>73.22444573105167</v>
      </c>
      <c r="G11" s="1">
        <f t="shared" si="0"/>
        <v>28.315772994392695</v>
      </c>
      <c r="H11" s="1">
        <f t="shared" si="2"/>
        <v>6150.800000000003</v>
      </c>
      <c r="I11" s="1">
        <f t="shared" si="1"/>
        <v>42583.8</v>
      </c>
    </row>
    <row r="12" spans="1:9" ht="18">
      <c r="A12" s="29" t="s">
        <v>15</v>
      </c>
      <c r="B12" s="49">
        <v>55.8</v>
      </c>
      <c r="C12" s="50">
        <v>286.2</v>
      </c>
      <c r="D12" s="51">
        <f>3.8+3.8+12.7+7.4+5</f>
        <v>32.699999999999996</v>
      </c>
      <c r="E12" s="1">
        <f>D12/D6*100</f>
        <v>0.03992118313201825</v>
      </c>
      <c r="F12" s="1">
        <f t="shared" si="3"/>
        <v>58.6021505376344</v>
      </c>
      <c r="G12" s="1">
        <f t="shared" si="0"/>
        <v>11.425576519916142</v>
      </c>
      <c r="H12" s="1">
        <f t="shared" si="2"/>
        <v>23.1</v>
      </c>
      <c r="I12" s="1">
        <f t="shared" si="1"/>
        <v>253.5</v>
      </c>
    </row>
    <row r="13" spans="1:9" ht="18.75" thickBot="1">
      <c r="A13" s="29" t="s">
        <v>35</v>
      </c>
      <c r="B13" s="50">
        <f>B6-B8-B9-B10-B11-B12</f>
        <v>1859.1000000000015</v>
      </c>
      <c r="C13" s="50">
        <f>C6-C8-C9-C10-C11-C12</f>
        <v>3698.1999999999725</v>
      </c>
      <c r="D13" s="50">
        <f>D6-D8-D9-D10-D11-D12</f>
        <v>972.5000000000043</v>
      </c>
      <c r="E13" s="1">
        <f>D13/D6*100</f>
        <v>1.1872584280088048</v>
      </c>
      <c r="F13" s="1">
        <f t="shared" si="3"/>
        <v>52.310257651552014</v>
      </c>
      <c r="G13" s="1">
        <f t="shared" si="0"/>
        <v>26.296576712995822</v>
      </c>
      <c r="H13" s="1">
        <f t="shared" si="2"/>
        <v>886.5999999999972</v>
      </c>
      <c r="I13" s="1">
        <f t="shared" si="1"/>
        <v>2725.699999999968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64674.3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5164.3+574.5+4623.4+2805.2+358.8+626.5+552.8+632.3+5118.8+101.4+166.3+0.1+1058.1+4.5+4222.3+101.4+4273.5+934.6+5187.7+0.2+1536.8+16+1026+471.5+1411.4+11.3+2729.9+4996.6+194.4</f>
        <v>48900.6</v>
      </c>
      <c r="E18" s="3">
        <f>D18/D144*100</f>
        <v>21.784488565288513</v>
      </c>
      <c r="F18" s="3">
        <f>D18/B18*100</f>
        <v>75.61055937211535</v>
      </c>
      <c r="G18" s="3">
        <f t="shared" si="0"/>
        <v>21.6212750736286</v>
      </c>
      <c r="H18" s="3">
        <f>B18-D18</f>
        <v>15773.700000000004</v>
      </c>
      <c r="I18" s="3">
        <f t="shared" si="1"/>
        <v>177268.30000000002</v>
      </c>
    </row>
    <row r="19" spans="1:9" s="44" customFormat="1" ht="18.75">
      <c r="A19" s="119" t="s">
        <v>108</v>
      </c>
      <c r="B19" s="120">
        <v>62168.2</v>
      </c>
      <c r="C19" s="121">
        <v>186519.2</v>
      </c>
      <c r="D19" s="122">
        <f>20724.4+1058.1+4.5+4107.3+4273.5+909.7+5187.7+0.2+1026+1411.4+1.1+2729.9+0.1+4996.6+194.4</f>
        <v>46624.899999999994</v>
      </c>
      <c r="E19" s="123">
        <f>D19/D18*100</f>
        <v>95.34627386985026</v>
      </c>
      <c r="F19" s="108">
        <f t="shared" si="3"/>
        <v>74.99798932573243</v>
      </c>
      <c r="G19" s="108">
        <f t="shared" si="0"/>
        <v>24.997372924610435</v>
      </c>
      <c r="H19" s="108">
        <f t="shared" si="2"/>
        <v>15543.300000000003</v>
      </c>
      <c r="I19" s="108">
        <f t="shared" si="1"/>
        <v>139894.30000000002</v>
      </c>
    </row>
    <row r="20" spans="1:9" ht="18">
      <c r="A20" s="29" t="s">
        <v>5</v>
      </c>
      <c r="B20" s="49">
        <v>49042.2</v>
      </c>
      <c r="C20" s="50">
        <v>169195.9</v>
      </c>
      <c r="D20" s="51">
        <f>5164.3+574.5+4352.6-225.6+2461.2+632.3+5026.9+4104.6-0.1+3875.3+3989.4+855.4+280+4996.6+192.6</f>
        <v>36280</v>
      </c>
      <c r="E20" s="1">
        <f>D20/D18*100</f>
        <v>74.19131871592577</v>
      </c>
      <c r="F20" s="1">
        <f t="shared" si="3"/>
        <v>73.97710543164867</v>
      </c>
      <c r="G20" s="1">
        <f t="shared" si="0"/>
        <v>21.44259996843895</v>
      </c>
      <c r="H20" s="1">
        <f t="shared" si="2"/>
        <v>12762.199999999997</v>
      </c>
      <c r="I20" s="1">
        <f t="shared" si="1"/>
        <v>132915.9</v>
      </c>
    </row>
    <row r="21" spans="1:9" ht="18">
      <c r="A21" s="29" t="s">
        <v>2</v>
      </c>
      <c r="B21" s="49">
        <v>2528.3</v>
      </c>
      <c r="C21" s="50">
        <v>12491.1</v>
      </c>
      <c r="D21" s="51">
        <f>11+1.8+42.7+3+47.6+40.1+0.7+2.5+101.4-0.1+82.5+53+0.2+1536.8+83.2+0.7+12.8+1.8</f>
        <v>2021.6999999999998</v>
      </c>
      <c r="E21" s="1">
        <f>D21/D18*100</f>
        <v>4.134305100550914</v>
      </c>
      <c r="F21" s="1">
        <f t="shared" si="3"/>
        <v>79.96282086777676</v>
      </c>
      <c r="G21" s="1">
        <f t="shared" si="0"/>
        <v>16.185123808151403</v>
      </c>
      <c r="H21" s="1">
        <f t="shared" si="2"/>
        <v>506.60000000000036</v>
      </c>
      <c r="I21" s="1">
        <f t="shared" si="1"/>
        <v>10469.400000000001</v>
      </c>
    </row>
    <row r="22" spans="1:9" ht="18">
      <c r="A22" s="29" t="s">
        <v>1</v>
      </c>
      <c r="B22" s="49">
        <v>1016.9</v>
      </c>
      <c r="C22" s="50">
        <v>3253.3</v>
      </c>
      <c r="D22" s="51">
        <f>173.9+19+7.6+19.5+89.8+0.1+92.4+48.6+202.1+56.1</f>
        <v>709.1000000000001</v>
      </c>
      <c r="E22" s="1">
        <f>D22/D18*100</f>
        <v>1.4500844570414273</v>
      </c>
      <c r="F22" s="1">
        <f t="shared" si="3"/>
        <v>69.73153702428952</v>
      </c>
      <c r="G22" s="1">
        <f t="shared" si="0"/>
        <v>21.796329880429106</v>
      </c>
      <c r="H22" s="1">
        <f t="shared" si="2"/>
        <v>307.79999999999984</v>
      </c>
      <c r="I22" s="1">
        <f t="shared" si="1"/>
        <v>2544.2</v>
      </c>
    </row>
    <row r="23" spans="1:9" ht="18">
      <c r="A23" s="29" t="s">
        <v>0</v>
      </c>
      <c r="B23" s="49">
        <v>7643.3</v>
      </c>
      <c r="C23" s="50">
        <v>24676.2</v>
      </c>
      <c r="D23" s="51">
        <f>96.9+173.9+611.9+463.4+109.9+698.9+114.7+0.2+702.4+1027.2+819.6+1945.5</f>
        <v>6764.5</v>
      </c>
      <c r="E23" s="1">
        <f>D23/D18*100</f>
        <v>13.833163601264605</v>
      </c>
      <c r="F23" s="1">
        <f t="shared" si="3"/>
        <v>88.50234846205173</v>
      </c>
      <c r="G23" s="1">
        <f t="shared" si="0"/>
        <v>27.41305387377311</v>
      </c>
      <c r="H23" s="1">
        <f t="shared" si="2"/>
        <v>878.8000000000002</v>
      </c>
      <c r="I23" s="1">
        <f t="shared" si="1"/>
        <v>17911.7</v>
      </c>
    </row>
    <row r="24" spans="1:9" ht="18">
      <c r="A24" s="29" t="s">
        <v>15</v>
      </c>
      <c r="B24" s="49">
        <v>459.1</v>
      </c>
      <c r="C24" s="50">
        <v>1528.1</v>
      </c>
      <c r="D24" s="51">
        <f>111+58.1+166.1</f>
        <v>335.2</v>
      </c>
      <c r="E24" s="1">
        <f>D24/D18*100</f>
        <v>0.6854721618957641</v>
      </c>
      <c r="F24" s="1">
        <f t="shared" si="3"/>
        <v>73.01241559573077</v>
      </c>
      <c r="G24" s="1">
        <f t="shared" si="0"/>
        <v>21.93573718997448</v>
      </c>
      <c r="H24" s="1">
        <f t="shared" si="2"/>
        <v>123.90000000000003</v>
      </c>
      <c r="I24" s="1">
        <f t="shared" si="1"/>
        <v>1192.8999999999999</v>
      </c>
    </row>
    <row r="25" spans="1:9" ht="18.75" thickBot="1">
      <c r="A25" s="29" t="s">
        <v>35</v>
      </c>
      <c r="B25" s="50">
        <f>B18-B20-B21-B22-B23-B24</f>
        <v>3984.500000000007</v>
      </c>
      <c r="C25" s="50">
        <f>C18-C20-C21-C22-C23-C24</f>
        <v>15024.300000000027</v>
      </c>
      <c r="D25" s="50">
        <f>D18-D20-D21-D22-D23-D24</f>
        <v>2790.0999999999976</v>
      </c>
      <c r="E25" s="1">
        <f>D25/D18*100</f>
        <v>5.705655963321508</v>
      </c>
      <c r="F25" s="1">
        <f t="shared" si="3"/>
        <v>70.02384238925819</v>
      </c>
      <c r="G25" s="1">
        <f t="shared" si="0"/>
        <v>18.57058232330287</v>
      </c>
      <c r="H25" s="1">
        <f t="shared" si="2"/>
        <v>1194.4000000000092</v>
      </c>
      <c r="I25" s="1">
        <f t="shared" si="1"/>
        <v>12234.20000000003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14544.8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</f>
        <v>10763.199999999999</v>
      </c>
      <c r="E33" s="3">
        <f>D33/D144*100</f>
        <v>4.794845202838274</v>
      </c>
      <c r="F33" s="3">
        <f>D33/B33*100</f>
        <v>74.00033001485068</v>
      </c>
      <c r="G33" s="3">
        <f t="shared" si="0"/>
        <v>25.62922958962563</v>
      </c>
      <c r="H33" s="3">
        <f t="shared" si="2"/>
        <v>3781.6000000000004</v>
      </c>
      <c r="I33" s="3">
        <f t="shared" si="1"/>
        <v>31232.6</v>
      </c>
    </row>
    <row r="34" spans="1:9" ht="18">
      <c r="A34" s="29" t="s">
        <v>3</v>
      </c>
      <c r="B34" s="49">
        <v>9615.4</v>
      </c>
      <c r="C34" s="50">
        <v>29626.4</v>
      </c>
      <c r="D34" s="51">
        <f>1216.2+1064.6-0.1+1185.2+1240.8+0.1+1202.8+1206.8</f>
        <v>7116.4000000000015</v>
      </c>
      <c r="E34" s="1">
        <f>D34/D33*100</f>
        <v>66.11788315742531</v>
      </c>
      <c r="F34" s="1">
        <f t="shared" si="3"/>
        <v>74.01044158329348</v>
      </c>
      <c r="G34" s="1">
        <f t="shared" si="0"/>
        <v>24.02046823103719</v>
      </c>
      <c r="H34" s="1">
        <f t="shared" si="2"/>
        <v>2498.999999999998</v>
      </c>
      <c r="I34" s="1">
        <f t="shared" si="1"/>
        <v>22510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1271.3</v>
      </c>
      <c r="C36" s="50">
        <v>2423.5</v>
      </c>
      <c r="D36" s="51">
        <f>6.5+2.8+10.2+0.8+23.6+67.7+80.5+1.3+36.1+6.9+3.3+7.6-0.1+154.9+32.2+23.8+2.3+86.1+23.3+3.4+0.7+1.8+4.8+6+11.6+1.8+11.8+146.5+0.1+108.8</f>
        <v>867.0999999999998</v>
      </c>
      <c r="E36" s="1">
        <f>D36/D33*100</f>
        <v>8.056154303552846</v>
      </c>
      <c r="F36" s="1">
        <f t="shared" si="3"/>
        <v>68.20577361755682</v>
      </c>
      <c r="G36" s="1">
        <f t="shared" si="0"/>
        <v>35.77883226738188</v>
      </c>
      <c r="H36" s="1">
        <f t="shared" si="2"/>
        <v>404.20000000000016</v>
      </c>
      <c r="I36" s="1">
        <f t="shared" si="1"/>
        <v>1556.4</v>
      </c>
    </row>
    <row r="37" spans="1:9" s="44" customFormat="1" ht="18.75">
      <c r="A37" s="23" t="s">
        <v>7</v>
      </c>
      <c r="B37" s="58">
        <v>183.4</v>
      </c>
      <c r="C37" s="59">
        <f>493.5+22</f>
        <v>515.5</v>
      </c>
      <c r="D37" s="60">
        <f>19+12.3+0.1+11.9</f>
        <v>43.300000000000004</v>
      </c>
      <c r="E37" s="19">
        <f>D37/D33*100</f>
        <v>0.40229671473167844</v>
      </c>
      <c r="F37" s="19">
        <f t="shared" si="3"/>
        <v>23.60959651035987</v>
      </c>
      <c r="G37" s="19">
        <f t="shared" si="0"/>
        <v>8.399612027158101</v>
      </c>
      <c r="H37" s="19">
        <f t="shared" si="2"/>
        <v>140.1</v>
      </c>
      <c r="I37" s="19">
        <f t="shared" si="1"/>
        <v>472.2</v>
      </c>
    </row>
    <row r="38" spans="1:9" ht="18">
      <c r="A38" s="29" t="s">
        <v>15</v>
      </c>
      <c r="B38" s="49">
        <v>33.6</v>
      </c>
      <c r="C38" s="50">
        <v>47.2</v>
      </c>
      <c r="D38" s="50">
        <f>3.4+3.4+3.4</f>
        <v>10.2</v>
      </c>
      <c r="E38" s="1">
        <f>D38/D33*100</f>
        <v>0.09476735543332838</v>
      </c>
      <c r="F38" s="1">
        <f t="shared" si="3"/>
        <v>30.357142857142854</v>
      </c>
      <c r="G38" s="1">
        <f t="shared" si="0"/>
        <v>21.610169491525422</v>
      </c>
      <c r="H38" s="1">
        <f t="shared" si="2"/>
        <v>23.400000000000002</v>
      </c>
      <c r="I38" s="1">
        <f t="shared" si="1"/>
        <v>37</v>
      </c>
    </row>
    <row r="39" spans="1:9" ht="18.75" thickBot="1">
      <c r="A39" s="29" t="s">
        <v>35</v>
      </c>
      <c r="B39" s="49">
        <f>B33-B34-B36-B37-B35-B38</f>
        <v>3441.0999999999995</v>
      </c>
      <c r="C39" s="49">
        <f>C33-C34-C36-C37-C35-C38</f>
        <v>9383.199999999993</v>
      </c>
      <c r="D39" s="49">
        <f>D33-D34-D36-D37-D35-D38</f>
        <v>2726.1999999999975</v>
      </c>
      <c r="E39" s="1">
        <f>D39/D33*100</f>
        <v>25.328898468856824</v>
      </c>
      <c r="F39" s="1">
        <f t="shared" si="3"/>
        <v>79.22466653105106</v>
      </c>
      <c r="G39" s="1">
        <f t="shared" si="0"/>
        <v>29.054054054054046</v>
      </c>
      <c r="H39" s="1">
        <f>B39-D39</f>
        <v>714.9000000000019</v>
      </c>
      <c r="I39" s="1">
        <f t="shared" si="1"/>
        <v>6656.999999999996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290.2</v>
      </c>
      <c r="C43" s="53">
        <f>768.4+32.5</f>
        <v>800.9</v>
      </c>
      <c r="D43" s="54">
        <f>17.7+12.2+11.2+51.1+0.8+30+0.1+18.9</f>
        <v>141.99999999999997</v>
      </c>
      <c r="E43" s="3">
        <f>D43/D144*100</f>
        <v>0.06325888386381696</v>
      </c>
      <c r="F43" s="3">
        <f>D43/B43*100</f>
        <v>48.931771192281175</v>
      </c>
      <c r="G43" s="3">
        <f t="shared" si="0"/>
        <v>17.7300536895992</v>
      </c>
      <c r="H43" s="3">
        <f t="shared" si="2"/>
        <v>148.20000000000002</v>
      </c>
      <c r="I43" s="3">
        <f t="shared" si="1"/>
        <v>658.9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2286.2-2.4</f>
        <v>2283.7999999999997</v>
      </c>
      <c r="C45" s="53">
        <f>6659.3+87.1</f>
        <v>6746.400000000001</v>
      </c>
      <c r="D45" s="54">
        <f>193+223+8.7+101.1+200.9+9+241+299.2+7.6+43.6+283.1+0.8</f>
        <v>1610.9999999999998</v>
      </c>
      <c r="E45" s="3">
        <f>D45/D144*100</f>
        <v>0.7176764922859799</v>
      </c>
      <c r="F45" s="3">
        <f>D45/B45*100</f>
        <v>70.5403275243016</v>
      </c>
      <c r="G45" s="3">
        <f aca="true" t="shared" si="4" ref="G45:G75">D45/C45*100</f>
        <v>23.879402347918884</v>
      </c>
      <c r="H45" s="3">
        <f>B45-D45</f>
        <v>672.8</v>
      </c>
      <c r="I45" s="3">
        <f aca="true" t="shared" si="5" ref="I45:I76">C45-D45</f>
        <v>5135.400000000001</v>
      </c>
    </row>
    <row r="46" spans="1:9" ht="18">
      <c r="A46" s="29" t="s">
        <v>3</v>
      </c>
      <c r="B46" s="49">
        <v>1806.6</v>
      </c>
      <c r="C46" s="50">
        <v>5755.9</v>
      </c>
      <c r="D46" s="51">
        <f>193+222.7+1.6+196.4+240.9+0.1+199.7+265.9</f>
        <v>1320.3000000000002</v>
      </c>
      <c r="E46" s="1">
        <f>D46/D45*100</f>
        <v>81.95530726256986</v>
      </c>
      <c r="F46" s="1">
        <f aca="true" t="shared" si="6" ref="F46:F73">D46/B46*100</f>
        <v>73.08203254732648</v>
      </c>
      <c r="G46" s="1">
        <f t="shared" si="4"/>
        <v>22.938202540002436</v>
      </c>
      <c r="H46" s="1">
        <f aca="true" t="shared" si="7" ref="H46:H73">B46-D46</f>
        <v>486.2999999999997</v>
      </c>
      <c r="I46" s="1">
        <f t="shared" si="5"/>
        <v>4435.599999999999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0.0186219739292365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19.4</v>
      </c>
      <c r="C48" s="50">
        <v>60.2</v>
      </c>
      <c r="D48" s="51">
        <f>3.8+1+5.7-0.1</f>
        <v>10.4</v>
      </c>
      <c r="E48" s="1">
        <f>D48/D45*100</f>
        <v>0.6455617628801987</v>
      </c>
      <c r="F48" s="1">
        <f t="shared" si="6"/>
        <v>53.60824742268042</v>
      </c>
      <c r="G48" s="1">
        <f t="shared" si="4"/>
        <v>17.275747508305646</v>
      </c>
      <c r="H48" s="1">
        <f t="shared" si="7"/>
        <v>8.999999999999998</v>
      </c>
      <c r="I48" s="1">
        <f t="shared" si="5"/>
        <v>49.800000000000004</v>
      </c>
    </row>
    <row r="49" spans="1:9" ht="18">
      <c r="A49" s="29" t="s">
        <v>0</v>
      </c>
      <c r="B49" s="49">
        <v>292.8</v>
      </c>
      <c r="C49" s="50">
        <v>538.3</v>
      </c>
      <c r="D49" s="51">
        <f>4.7+90.3+4.8+67.1+3.1+1.1</f>
        <v>171.09999999999997</v>
      </c>
      <c r="E49" s="1">
        <f>D49/D45*100</f>
        <v>10.620732464307883</v>
      </c>
      <c r="F49" s="1">
        <f t="shared" si="6"/>
        <v>58.43579234972677</v>
      </c>
      <c r="G49" s="1">
        <f t="shared" si="4"/>
        <v>31.785249860672483</v>
      </c>
      <c r="H49" s="1">
        <f t="shared" si="7"/>
        <v>121.70000000000005</v>
      </c>
      <c r="I49" s="1">
        <f t="shared" si="5"/>
        <v>367.2</v>
      </c>
    </row>
    <row r="50" spans="1:9" ht="18.75" thickBot="1">
      <c r="A50" s="29" t="s">
        <v>35</v>
      </c>
      <c r="B50" s="50">
        <f>B45-B46-B49-B48-B47</f>
        <v>164.6999999999998</v>
      </c>
      <c r="C50" s="50">
        <f>C45-C46-C49-C48-C47</f>
        <v>390.800000000001</v>
      </c>
      <c r="D50" s="50">
        <f>D45-D46-D49-D48-D47</f>
        <v>108.89999999999962</v>
      </c>
      <c r="E50" s="1">
        <f>D50/D45*100</f>
        <v>6.759776536312827</v>
      </c>
      <c r="F50" s="1">
        <f t="shared" si="6"/>
        <v>66.12021857923483</v>
      </c>
      <c r="G50" s="1">
        <f t="shared" si="4"/>
        <v>27.865916069600654</v>
      </c>
      <c r="H50" s="1">
        <f t="shared" si="7"/>
        <v>55.80000000000017</v>
      </c>
      <c r="I50" s="1">
        <f t="shared" si="5"/>
        <v>281.90000000000134</v>
      </c>
    </row>
    <row r="51" spans="1:9" ht="18.75" thickBot="1">
      <c r="A51" s="28" t="s">
        <v>4</v>
      </c>
      <c r="B51" s="52">
        <v>5102.5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</f>
        <v>3215</v>
      </c>
      <c r="E51" s="3">
        <f>D51/D144*100</f>
        <v>1.4322345888885324</v>
      </c>
      <c r="F51" s="3">
        <f>D51/B51*100</f>
        <v>63.00832925036747</v>
      </c>
      <c r="G51" s="3">
        <f t="shared" si="4"/>
        <v>22.62857464614258</v>
      </c>
      <c r="H51" s="3">
        <f>B51-D51</f>
        <v>1887.5</v>
      </c>
      <c r="I51" s="3">
        <f t="shared" si="5"/>
        <v>10992.7</v>
      </c>
    </row>
    <row r="52" spans="1:9" ht="18">
      <c r="A52" s="29" t="s">
        <v>3</v>
      </c>
      <c r="B52" s="49">
        <v>2739.5</v>
      </c>
      <c r="C52" s="50">
        <v>8729.1</v>
      </c>
      <c r="D52" s="51">
        <f>260.4+390.2+0.1+271.7+395.7-0.1+282.9+391.4+0.1</f>
        <v>1992.4</v>
      </c>
      <c r="E52" s="1">
        <f>D52/D51*100</f>
        <v>61.972006220839816</v>
      </c>
      <c r="F52" s="1">
        <f t="shared" si="6"/>
        <v>72.72860010950903</v>
      </c>
      <c r="G52" s="1">
        <f t="shared" si="4"/>
        <v>22.824804389914195</v>
      </c>
      <c r="H52" s="1">
        <f t="shared" si="7"/>
        <v>747.0999999999999</v>
      </c>
      <c r="I52" s="1">
        <f t="shared" si="5"/>
        <v>6736.700000000001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84</v>
      </c>
      <c r="C54" s="50">
        <f>189.7+74</f>
        <v>263.7</v>
      </c>
      <c r="D54" s="51">
        <f>1.7+1.5+4.6+9.7+8-0.1</f>
        <v>25.4</v>
      </c>
      <c r="E54" s="1">
        <f>D54/D51*100</f>
        <v>0.7900466562986004</v>
      </c>
      <c r="F54" s="1">
        <f t="shared" si="6"/>
        <v>30.238095238095237</v>
      </c>
      <c r="G54" s="1">
        <f t="shared" si="4"/>
        <v>9.632157755024648</v>
      </c>
      <c r="H54" s="1">
        <f t="shared" si="7"/>
        <v>58.6</v>
      </c>
      <c r="I54" s="1">
        <f t="shared" si="5"/>
        <v>238.29999999999998</v>
      </c>
    </row>
    <row r="55" spans="1:9" ht="18">
      <c r="A55" s="29" t="s">
        <v>0</v>
      </c>
      <c r="B55" s="49">
        <v>325.2</v>
      </c>
      <c r="C55" s="50">
        <v>709.9</v>
      </c>
      <c r="D55" s="51">
        <f>1.1+7.6+5.9+0.3+0.2+6.8+0.3+67.1+16.4-0.1+19.5+19.3+76.2+4.5</f>
        <v>225.10000000000002</v>
      </c>
      <c r="E55" s="1">
        <f>D55/D51*100</f>
        <v>7.001555209953344</v>
      </c>
      <c r="F55" s="1">
        <f t="shared" si="6"/>
        <v>69.21894218942191</v>
      </c>
      <c r="G55" s="1">
        <f t="shared" si="4"/>
        <v>31.70869136498099</v>
      </c>
      <c r="H55" s="1">
        <f t="shared" si="7"/>
        <v>100.09999999999997</v>
      </c>
      <c r="I55" s="1">
        <f t="shared" si="5"/>
        <v>484.79999999999995</v>
      </c>
    </row>
    <row r="56" spans="1:9" ht="18.75" thickBot="1">
      <c r="A56" s="29" t="s">
        <v>35</v>
      </c>
      <c r="B56" s="50">
        <f>B51-B52-B55-B54-B53</f>
        <v>1953.8</v>
      </c>
      <c r="C56" s="50">
        <f>C51-C52-C55-C54-C53</f>
        <v>4494.100000000001</v>
      </c>
      <c r="D56" s="50">
        <f>D51-D52-D55-D54-D53</f>
        <v>972.0999999999999</v>
      </c>
      <c r="E56" s="1">
        <f>D56/D51*100</f>
        <v>30.23639191290824</v>
      </c>
      <c r="F56" s="1">
        <f t="shared" si="6"/>
        <v>49.75432490531272</v>
      </c>
      <c r="G56" s="1">
        <f t="shared" si="4"/>
        <v>21.63058231904051</v>
      </c>
      <c r="H56" s="1">
        <f t="shared" si="7"/>
        <v>981.7</v>
      </c>
      <c r="I56" s="1">
        <f>C56-D56</f>
        <v>3522.0000000000014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781.7</v>
      </c>
      <c r="C58" s="53">
        <f>3033.3+2447.7</f>
        <v>5481</v>
      </c>
      <c r="D58" s="54">
        <f>36.1+65.6+6.5+0.4+1.3+60.3+3+39.2+0.1+14.1+69.1+5.2-0.1+1.8+81+43+6.1+66</f>
        <v>498.69999999999993</v>
      </c>
      <c r="E58" s="3">
        <f>D58/D144*100</f>
        <v>0.2221634181893347</v>
      </c>
      <c r="F58" s="3">
        <f>D58/B58*100</f>
        <v>63.79685301266469</v>
      </c>
      <c r="G58" s="3">
        <f t="shared" si="4"/>
        <v>9.098704615945993</v>
      </c>
      <c r="H58" s="3">
        <f>B58-D58</f>
        <v>283.0000000000001</v>
      </c>
      <c r="I58" s="3">
        <f t="shared" si="5"/>
        <v>4982.3</v>
      </c>
    </row>
    <row r="59" spans="1:9" ht="18">
      <c r="A59" s="29" t="s">
        <v>3</v>
      </c>
      <c r="B59" s="49">
        <v>438.1</v>
      </c>
      <c r="C59" s="50">
        <v>1426.1</v>
      </c>
      <c r="D59" s="51">
        <f>36.1+65.6+39.2+69.1+1.8+43+66</f>
        <v>320.79999999999995</v>
      </c>
      <c r="E59" s="1">
        <f>D59/D58*100</f>
        <v>64.32725085221576</v>
      </c>
      <c r="F59" s="1">
        <f t="shared" si="6"/>
        <v>73.22529102944532</v>
      </c>
      <c r="G59" s="1">
        <f t="shared" si="4"/>
        <v>22.49491620503471</v>
      </c>
      <c r="H59" s="1">
        <f t="shared" si="7"/>
        <v>117.30000000000007</v>
      </c>
      <c r="I59" s="1">
        <f t="shared" si="5"/>
        <v>1105.3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206.4</v>
      </c>
      <c r="C61" s="50">
        <v>420.8</v>
      </c>
      <c r="D61" s="51">
        <f>1.3+56.1+4.9+63.5+3.5</f>
        <v>129.3</v>
      </c>
      <c r="E61" s="1">
        <f>D61/D58*100</f>
        <v>25.927411269300187</v>
      </c>
      <c r="F61" s="1">
        <f t="shared" si="6"/>
        <v>62.645348837209305</v>
      </c>
      <c r="G61" s="1">
        <f t="shared" si="4"/>
        <v>30.727186311787076</v>
      </c>
      <c r="H61" s="1">
        <f t="shared" si="7"/>
        <v>77.1</v>
      </c>
      <c r="I61" s="1">
        <f t="shared" si="5"/>
        <v>291.5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137.20000000000002</v>
      </c>
      <c r="C63" s="50">
        <f>C58-C59-C61-C62-C60</f>
        <v>505.1999999999998</v>
      </c>
      <c r="D63" s="50">
        <f>D58-D59-D61-D62-D60</f>
        <v>48.599999999999966</v>
      </c>
      <c r="E63" s="1">
        <f>D63/D58*100</f>
        <v>9.745337878484053</v>
      </c>
      <c r="F63" s="1">
        <f t="shared" si="6"/>
        <v>35.42274052478131</v>
      </c>
      <c r="G63" s="1">
        <f t="shared" si="4"/>
        <v>9.619952494061755</v>
      </c>
      <c r="H63" s="1">
        <f t="shared" si="7"/>
        <v>88.60000000000005</v>
      </c>
      <c r="I63" s="1">
        <f t="shared" si="5"/>
        <v>456.59999999999985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256.9</v>
      </c>
      <c r="C68" s="53">
        <f>C69+C70</f>
        <v>476.7</v>
      </c>
      <c r="D68" s="54">
        <f>SUM(D69:D70)</f>
        <v>86.1</v>
      </c>
      <c r="E68" s="42">
        <f>D68/D144*100</f>
        <v>0.038356266906159446</v>
      </c>
      <c r="F68" s="112">
        <f>D68/B68*100</f>
        <v>33.5149863760218</v>
      </c>
      <c r="G68" s="3">
        <f t="shared" si="4"/>
        <v>18.06167400881057</v>
      </c>
      <c r="H68" s="3">
        <f>B68-D68</f>
        <v>170.79999999999998</v>
      </c>
      <c r="I68" s="3">
        <f t="shared" si="5"/>
        <v>390.6</v>
      </c>
    </row>
    <row r="69" spans="1:9" ht="18">
      <c r="A69" s="29" t="s">
        <v>8</v>
      </c>
      <c r="B69" s="49">
        <v>256.7</v>
      </c>
      <c r="C69" s="50">
        <v>273.9</v>
      </c>
      <c r="D69" s="51">
        <f>0.2+12.6+73.3</f>
        <v>86.1</v>
      </c>
      <c r="E69" s="1">
        <f>D69/D68*100</f>
        <v>100</v>
      </c>
      <c r="F69" s="1">
        <f t="shared" si="6"/>
        <v>33.541098558628754</v>
      </c>
      <c r="G69" s="1">
        <f t="shared" si="4"/>
        <v>31.434830230010952</v>
      </c>
      <c r="H69" s="1">
        <f t="shared" si="7"/>
        <v>170.6</v>
      </c>
      <c r="I69" s="1">
        <f t="shared" si="5"/>
        <v>187.79999999999998</v>
      </c>
    </row>
    <row r="70" spans="1:9" ht="18.75" thickBot="1">
      <c r="A70" s="29" t="s">
        <v>9</v>
      </c>
      <c r="B70" s="49">
        <v>0.2</v>
      </c>
      <c r="C70" s="50">
        <v>202.8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0.2</v>
      </c>
      <c r="I70" s="1">
        <f t="shared" si="5"/>
        <v>202.8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2219.8</v>
      </c>
      <c r="C76" s="69">
        <f>10000-6127.8</f>
        <v>3872.2</v>
      </c>
      <c r="D76" s="70"/>
      <c r="E76" s="48"/>
      <c r="F76" s="48"/>
      <c r="G76" s="48"/>
      <c r="H76" s="48">
        <f>B76-D76</f>
        <v>2219.8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16819.7</v>
      </c>
      <c r="C89" s="53">
        <f>47925.9+539.6</f>
        <v>48465.5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</f>
        <v>11068.199999999997</v>
      </c>
      <c r="E89" s="3">
        <f>D89/D144*100</f>
        <v>4.930718157616189</v>
      </c>
      <c r="F89" s="3">
        <f aca="true" t="shared" si="10" ref="F89:F95">D89/B89*100</f>
        <v>65.80497868570781</v>
      </c>
      <c r="G89" s="3">
        <f t="shared" si="8"/>
        <v>22.837276000453922</v>
      </c>
      <c r="H89" s="3">
        <f aca="true" t="shared" si="11" ref="H89:H95">B89-D89</f>
        <v>5751.500000000004</v>
      </c>
      <c r="I89" s="3">
        <f t="shared" si="9"/>
        <v>37397.3</v>
      </c>
    </row>
    <row r="90" spans="1:9" ht="18">
      <c r="A90" s="29" t="s">
        <v>3</v>
      </c>
      <c r="B90" s="49">
        <v>13055.3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</f>
        <v>9455.4</v>
      </c>
      <c r="E90" s="1">
        <f>D90/D89*100</f>
        <v>85.4285249634087</v>
      </c>
      <c r="F90" s="1">
        <f t="shared" si="10"/>
        <v>72.4257581212228</v>
      </c>
      <c r="G90" s="1">
        <f t="shared" si="8"/>
        <v>23.854382158534737</v>
      </c>
      <c r="H90" s="1">
        <f t="shared" si="11"/>
        <v>3599.8999999999996</v>
      </c>
      <c r="I90" s="1">
        <f t="shared" si="9"/>
        <v>30182.6</v>
      </c>
    </row>
    <row r="91" spans="1:9" ht="18">
      <c r="A91" s="29" t="s">
        <v>33</v>
      </c>
      <c r="B91" s="49">
        <v>1196.4</v>
      </c>
      <c r="C91" s="50">
        <v>2406.5</v>
      </c>
      <c r="D91" s="51">
        <f>15.4+0.6+1.6+3.7+2.5+4.3+0.4+4.2+0.8+56.6+102.4+16.1+0.1+47.1+29.8+64</f>
        <v>349.59999999999997</v>
      </c>
      <c r="E91" s="1">
        <f>D91/D89*100</f>
        <v>3.158598507435717</v>
      </c>
      <c r="F91" s="1">
        <f t="shared" si="10"/>
        <v>29.22099632230023</v>
      </c>
      <c r="G91" s="1">
        <f t="shared" si="8"/>
        <v>14.52732183669229</v>
      </c>
      <c r="H91" s="1">
        <f t="shared" si="11"/>
        <v>846.8000000000002</v>
      </c>
      <c r="I91" s="1">
        <f t="shared" si="9"/>
        <v>2056.9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2568.0000000000014</v>
      </c>
      <c r="C93" s="127">
        <f>C89-C90-C91-C92</f>
        <v>6421</v>
      </c>
      <c r="D93" s="127">
        <f>D89-D90-D91-D92</f>
        <v>1263.1999999999975</v>
      </c>
      <c r="E93" s="128">
        <f>D93/D89*100</f>
        <v>11.41287652915558</v>
      </c>
      <c r="F93" s="128">
        <f t="shared" si="10"/>
        <v>49.19003115264785</v>
      </c>
      <c r="G93" s="128">
        <f>D93/C93*100</f>
        <v>19.672948138919132</v>
      </c>
      <c r="H93" s="128">
        <f t="shared" si="11"/>
        <v>1304.8000000000038</v>
      </c>
      <c r="I93" s="128">
        <f>C93-D93</f>
        <v>5157.800000000003</v>
      </c>
    </row>
    <row r="94" spans="1:9" ht="18.75">
      <c r="A94" s="135" t="s">
        <v>12</v>
      </c>
      <c r="B94" s="140">
        <v>19830.6</v>
      </c>
      <c r="C94" s="142">
        <f>48638.3+1900</f>
        <v>50538.3</v>
      </c>
      <c r="D94" s="141">
        <f>3479.6+8.1+4.1+53.2+1101.8+1997.1+228.6+3048.1+0.1+314.6+1021.4+1907+2.5+299.7+94.1+2183.5+8+2623.6+342.3+2.2+8.5</f>
        <v>18728.100000000002</v>
      </c>
      <c r="E94" s="134">
        <f>D94/D144*100</f>
        <v>8.343089456971486</v>
      </c>
      <c r="F94" s="138">
        <f t="shared" si="10"/>
        <v>94.44041027502952</v>
      </c>
      <c r="G94" s="125">
        <f>D94/C94*100</f>
        <v>37.05724173547587</v>
      </c>
      <c r="H94" s="139">
        <f t="shared" si="11"/>
        <v>1102.4999999999964</v>
      </c>
      <c r="I94" s="134">
        <f>C94-D94</f>
        <v>31810.2</v>
      </c>
    </row>
    <row r="95" spans="1:9" ht="18.75" thickBot="1">
      <c r="A95" s="136" t="s">
        <v>110</v>
      </c>
      <c r="B95" s="143">
        <v>1542</v>
      </c>
      <c r="C95" s="144">
        <v>4853.7</v>
      </c>
      <c r="D95" s="145">
        <f>600+69+9+48.5+2.5+299.7+50.5+190.4</f>
        <v>1269.6000000000001</v>
      </c>
      <c r="E95" s="146">
        <f>D95/D94*100</f>
        <v>6.7791180098354875</v>
      </c>
      <c r="F95" s="147">
        <f t="shared" si="10"/>
        <v>82.33463035019456</v>
      </c>
      <c r="G95" s="148">
        <f>D95/C95*100</f>
        <v>26.15736448482601</v>
      </c>
      <c r="H95" s="137">
        <f t="shared" si="11"/>
        <v>272.39999999999986</v>
      </c>
      <c r="I95" s="96">
        <f>C95-D95</f>
        <v>3584.0999999999995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2639.7</v>
      </c>
      <c r="C101" s="105">
        <f>6061.2+4589.8</f>
        <v>10651</v>
      </c>
      <c r="D101" s="90">
        <f>110.5+80.7+66.2+55.7+33+106.8+21.7+2.2+3.9+0.4+5.9+27.7+127.6+1.1+13.8+50.2+3.3+23.2+111+21.4+3.2+5.8+132.8+36.6+20.9+0.1+13.6+84.8</f>
        <v>1164.0999999999997</v>
      </c>
      <c r="E101" s="25">
        <f>D101/D144*100</f>
        <v>0.5185892021540094</v>
      </c>
      <c r="F101" s="25">
        <f>D101/B101*100</f>
        <v>44.09970830018562</v>
      </c>
      <c r="G101" s="25">
        <f aca="true" t="shared" si="12" ref="G101:G142">D101/C101*100</f>
        <v>10.929490188714672</v>
      </c>
      <c r="H101" s="25">
        <f aca="true" t="shared" si="13" ref="H101:H106">B101-D101</f>
        <v>1475.6000000000001</v>
      </c>
      <c r="I101" s="25">
        <f aca="true" t="shared" si="14" ref="I101:I142">C101-D101</f>
        <v>9486.9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2382</v>
      </c>
      <c r="C103" s="51">
        <f>5036.9+4586</f>
        <v>9622.9</v>
      </c>
      <c r="D103" s="51">
        <f>110.3+80.7+66.2+32.9+19.7+106.6+21.7+3.9+5.8+27.6+127.6+1.1+0.1+13.7+10.7+3.3+110.8+21.4+3.1+2+132.8+20.9+0.1+78</f>
        <v>1001</v>
      </c>
      <c r="E103" s="1">
        <f>D103/D101*100</f>
        <v>85.98917618761277</v>
      </c>
      <c r="F103" s="1">
        <f aca="true" t="shared" si="15" ref="F103:F142">D103/B103*100</f>
        <v>42.02350965575147</v>
      </c>
      <c r="G103" s="1">
        <f t="shared" si="12"/>
        <v>10.402269586091512</v>
      </c>
      <c r="H103" s="1">
        <f t="shared" si="13"/>
        <v>1381</v>
      </c>
      <c r="I103" s="1">
        <f t="shared" si="14"/>
        <v>8621.9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257.6999999999998</v>
      </c>
      <c r="C105" s="100">
        <f>C101-C102-C103</f>
        <v>1028.1000000000004</v>
      </c>
      <c r="D105" s="100">
        <f>D101-D102-D103</f>
        <v>163.09999999999968</v>
      </c>
      <c r="E105" s="96">
        <f>D105/D101*100</f>
        <v>14.01082381238723</v>
      </c>
      <c r="F105" s="96">
        <f t="shared" si="15"/>
        <v>63.29064804035692</v>
      </c>
      <c r="G105" s="96">
        <f t="shared" si="12"/>
        <v>15.864215543235058</v>
      </c>
      <c r="H105" s="96">
        <f>B105-D105</f>
        <v>94.60000000000014</v>
      </c>
      <c r="I105" s="96">
        <f t="shared" si="14"/>
        <v>865.0000000000007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62426.399999999994</v>
      </c>
      <c r="C106" s="93">
        <f>SUM(C107:C141)-C114-C118+C142-C134-C135-C108-C111-C121-C122-C132</f>
        <v>149269.8</v>
      </c>
      <c r="D106" s="93">
        <f>SUM(D107:D141)-D114-D118+D142-D134-D135-D108-D111-D121-D122-D132</f>
        <v>46386</v>
      </c>
      <c r="E106" s="94">
        <f>D106/D144*100</f>
        <v>20.664271738781792</v>
      </c>
      <c r="F106" s="94">
        <f>D106/B106*100</f>
        <v>74.3051016877475</v>
      </c>
      <c r="G106" s="94">
        <f t="shared" si="12"/>
        <v>31.075274435954224</v>
      </c>
      <c r="H106" s="94">
        <f t="shared" si="13"/>
        <v>16040.399999999994</v>
      </c>
      <c r="I106" s="94">
        <f t="shared" si="14"/>
        <v>102883.79999999999</v>
      </c>
    </row>
    <row r="107" spans="1:9" ht="37.5">
      <c r="A107" s="34" t="s">
        <v>67</v>
      </c>
      <c r="B107" s="78">
        <v>869.3</v>
      </c>
      <c r="C107" s="74">
        <f>1662.5+137.3</f>
        <v>1799.8</v>
      </c>
      <c r="D107" s="79">
        <f>114.2+9+1.8-0.1+90.7+22.4+38.1+76.9+3.3+8.3+1.4+33.8+39+2.5+0.1+67.3+0.2</f>
        <v>508.90000000000003</v>
      </c>
      <c r="E107" s="6">
        <f>D107/D106*100</f>
        <v>1.0970982624067607</v>
      </c>
      <c r="F107" s="6">
        <f t="shared" si="15"/>
        <v>58.54135511330957</v>
      </c>
      <c r="G107" s="6">
        <f t="shared" si="12"/>
        <v>28.27536392932548</v>
      </c>
      <c r="H107" s="6">
        <f aca="true" t="shared" si="16" ref="H107:H142">B107-D107</f>
        <v>360.3999999999999</v>
      </c>
      <c r="I107" s="6">
        <f t="shared" si="14"/>
        <v>1290.8999999999999</v>
      </c>
    </row>
    <row r="108" spans="1:9" ht="18">
      <c r="A108" s="29" t="s">
        <v>33</v>
      </c>
      <c r="B108" s="81">
        <v>405.7</v>
      </c>
      <c r="C108" s="51">
        <v>823.7</v>
      </c>
      <c r="D108" s="82">
        <f>96.8+90.7+64.1+48.5</f>
        <v>300.1</v>
      </c>
      <c r="E108" s="1"/>
      <c r="F108" s="1">
        <f t="shared" si="15"/>
        <v>73.97091446881933</v>
      </c>
      <c r="G108" s="1">
        <f t="shared" si="12"/>
        <v>36.43316741532111</v>
      </c>
      <c r="H108" s="1">
        <f t="shared" si="16"/>
        <v>105.59999999999997</v>
      </c>
      <c r="I108" s="1">
        <f t="shared" si="14"/>
        <v>523.6</v>
      </c>
    </row>
    <row r="109" spans="1:9" ht="34.5" customHeight="1">
      <c r="A109" s="17" t="s">
        <v>100</v>
      </c>
      <c r="B109" s="80">
        <v>303</v>
      </c>
      <c r="C109" s="68">
        <v>903.8</v>
      </c>
      <c r="D109" s="79">
        <f>20.7+31.6+0.1</f>
        <v>52.4</v>
      </c>
      <c r="E109" s="6">
        <f>D109/D106*100</f>
        <v>0.11296511878584055</v>
      </c>
      <c r="F109" s="6">
        <f>D109/B109*100</f>
        <v>17.293729372937293</v>
      </c>
      <c r="G109" s="6">
        <f t="shared" si="12"/>
        <v>5.797742863465369</v>
      </c>
      <c r="H109" s="6">
        <f t="shared" si="16"/>
        <v>250.6</v>
      </c>
      <c r="I109" s="6">
        <f t="shared" si="14"/>
        <v>851.4</v>
      </c>
    </row>
    <row r="110" spans="1:9" s="44" customFormat="1" ht="34.5" customHeight="1">
      <c r="A110" s="17" t="s">
        <v>75</v>
      </c>
      <c r="B110" s="80">
        <v>39.5</v>
      </c>
      <c r="C110" s="60">
        <f>71.8+12.8</f>
        <v>84.6</v>
      </c>
      <c r="D110" s="83">
        <f>5.3+5.3+0.5+1.7</f>
        <v>12.799999999999999</v>
      </c>
      <c r="E110" s="6">
        <f>D110/D106*100</f>
        <v>0.027594532833182424</v>
      </c>
      <c r="F110" s="6">
        <f t="shared" si="15"/>
        <v>32.405063291139236</v>
      </c>
      <c r="G110" s="6">
        <f t="shared" si="12"/>
        <v>15.130023640661939</v>
      </c>
      <c r="H110" s="6">
        <f t="shared" si="16"/>
        <v>26.700000000000003</v>
      </c>
      <c r="I110" s="6">
        <f t="shared" si="14"/>
        <v>71.8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22.4</v>
      </c>
      <c r="C112" s="68">
        <v>67.4</v>
      </c>
      <c r="D112" s="79">
        <f>5.5+5.4+5.5</f>
        <v>16.4</v>
      </c>
      <c r="E112" s="6">
        <f>D112/D106*100</f>
        <v>0.03535549519251498</v>
      </c>
      <c r="F112" s="6">
        <f t="shared" si="15"/>
        <v>73.21428571428571</v>
      </c>
      <c r="G112" s="6">
        <f t="shared" si="12"/>
        <v>24.332344213649847</v>
      </c>
      <c r="H112" s="6">
        <f t="shared" si="16"/>
        <v>6</v>
      </c>
      <c r="I112" s="6">
        <f t="shared" si="14"/>
        <v>51.00000000000001</v>
      </c>
    </row>
    <row r="113" spans="1:9" ht="37.5">
      <c r="A113" s="17" t="s">
        <v>47</v>
      </c>
      <c r="B113" s="80">
        <v>579.3</v>
      </c>
      <c r="C113" s="68">
        <v>1532.5</v>
      </c>
      <c r="D113" s="79">
        <f>96.4+0.6+6.3+86+10.4+21.5+5.3+0.1+11.6+102.1</f>
        <v>340.3</v>
      </c>
      <c r="E113" s="6">
        <f>D113/D106*100</f>
        <v>0.733626525244686</v>
      </c>
      <c r="F113" s="6">
        <f t="shared" si="15"/>
        <v>58.74331089245642</v>
      </c>
      <c r="G113" s="6">
        <f t="shared" si="12"/>
        <v>22.205546492659053</v>
      </c>
      <c r="H113" s="6">
        <f t="shared" si="16"/>
        <v>238.99999999999994</v>
      </c>
      <c r="I113" s="6">
        <f t="shared" si="14"/>
        <v>1192.2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0.07760962359332557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188.7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188.7</v>
      </c>
      <c r="I116" s="6">
        <f t="shared" si="14"/>
        <v>245.2</v>
      </c>
    </row>
    <row r="117" spans="1:9" s="2" customFormat="1" ht="18.75">
      <c r="A117" s="17" t="s">
        <v>16</v>
      </c>
      <c r="B117" s="80">
        <v>87.9</v>
      </c>
      <c r="C117" s="60">
        <f>199.6+4.8</f>
        <v>204.4</v>
      </c>
      <c r="D117" s="79">
        <f>1.6+18.3+17.8+0.8+2.2+4+0.6+16.7+3.7</f>
        <v>65.7</v>
      </c>
      <c r="E117" s="6">
        <f>D117/D106*100</f>
        <v>0.1416375630578192</v>
      </c>
      <c r="F117" s="6">
        <f t="shared" si="15"/>
        <v>74.74402730375427</v>
      </c>
      <c r="G117" s="6">
        <f t="shared" si="12"/>
        <v>32.142857142857146</v>
      </c>
      <c r="H117" s="6">
        <f t="shared" si="16"/>
        <v>22.200000000000003</v>
      </c>
      <c r="I117" s="6">
        <f t="shared" si="14"/>
        <v>138.7</v>
      </c>
    </row>
    <row r="118" spans="1:9" s="39" customFormat="1" ht="18">
      <c r="A118" s="40" t="s">
        <v>54</v>
      </c>
      <c r="B118" s="81">
        <v>66.9</v>
      </c>
      <c r="C118" s="51">
        <v>150.8</v>
      </c>
      <c r="D118" s="82">
        <f>16.7+16.7+16.7</f>
        <v>50.099999999999994</v>
      </c>
      <c r="E118" s="1"/>
      <c r="F118" s="1">
        <f t="shared" si="15"/>
        <v>74.88789237668159</v>
      </c>
      <c r="G118" s="1">
        <f t="shared" si="12"/>
        <v>33.22281167108753</v>
      </c>
      <c r="H118" s="1">
        <f t="shared" si="16"/>
        <v>16.80000000000001</v>
      </c>
      <c r="I118" s="1">
        <f t="shared" si="14"/>
        <v>100.70000000000002</v>
      </c>
    </row>
    <row r="119" spans="1:9" s="2" customFormat="1" ht="18.75">
      <c r="A119" s="17" t="s">
        <v>25</v>
      </c>
      <c r="B119" s="80">
        <v>564.6</v>
      </c>
      <c r="C119" s="60">
        <f>1468.8+249.6</f>
        <v>1718.3999999999999</v>
      </c>
      <c r="D119" s="79">
        <f>249.6</f>
        <v>249.6</v>
      </c>
      <c r="E119" s="6">
        <f>D119/D106*100</f>
        <v>0.5380933902470573</v>
      </c>
      <c r="F119" s="6">
        <f t="shared" si="15"/>
        <v>44.20828905419766</v>
      </c>
      <c r="G119" s="6">
        <f t="shared" si="12"/>
        <v>14.52513966480447</v>
      </c>
      <c r="H119" s="6">
        <f t="shared" si="16"/>
        <v>315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1191</v>
      </c>
      <c r="C120" s="60">
        <f>628+70+553</f>
        <v>1251</v>
      </c>
      <c r="D120" s="83">
        <f>110.6</f>
        <v>110.6</v>
      </c>
      <c r="E120" s="19">
        <f>D120/D106*100</f>
        <v>0.23843401026171687</v>
      </c>
      <c r="F120" s="6">
        <f t="shared" si="15"/>
        <v>9.286314021830394</v>
      </c>
      <c r="G120" s="6">
        <f t="shared" si="12"/>
        <v>8.840927258193444</v>
      </c>
      <c r="H120" s="6">
        <f t="shared" si="16"/>
        <v>1080.4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789.1</v>
      </c>
      <c r="C123" s="60">
        <v>2933.8</v>
      </c>
      <c r="D123" s="83">
        <f>21+0.9+174.2</f>
        <v>196.1</v>
      </c>
      <c r="E123" s="19">
        <f>D123/D106*100</f>
        <v>0.42275686629586506</v>
      </c>
      <c r="F123" s="6">
        <f t="shared" si="15"/>
        <v>24.851096185527815</v>
      </c>
      <c r="G123" s="6">
        <f t="shared" si="12"/>
        <v>6.684163883018609</v>
      </c>
      <c r="H123" s="6">
        <f t="shared" si="16"/>
        <v>593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0.2800413917992498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0.0043116457551847535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89.7</v>
      </c>
      <c r="C127" s="60">
        <f>101.4+27.9</f>
        <v>129.3</v>
      </c>
      <c r="D127" s="83">
        <f>3+3+4.9+21.9-0.1+12.2+1.6+6.9+7.8+0.7</f>
        <v>61.89999999999999</v>
      </c>
      <c r="E127" s="19">
        <f>D127/D106*100</f>
        <v>0.13344543612296814</v>
      </c>
      <c r="F127" s="6">
        <f t="shared" si="15"/>
        <v>69.00780379041247</v>
      </c>
      <c r="G127" s="6">
        <f t="shared" si="12"/>
        <v>47.87316318638823</v>
      </c>
      <c r="H127" s="6">
        <f t="shared" si="16"/>
        <v>27.80000000000001</v>
      </c>
      <c r="I127" s="6">
        <f t="shared" si="14"/>
        <v>67.40000000000002</v>
      </c>
    </row>
    <row r="128" spans="1:9" s="2" customFormat="1" ht="18.75">
      <c r="A128" s="17" t="s">
        <v>72</v>
      </c>
      <c r="B128" s="80">
        <v>138.5</v>
      </c>
      <c r="C128" s="60">
        <v>650</v>
      </c>
      <c r="D128" s="83">
        <f>8.7+23.6</f>
        <v>32.3</v>
      </c>
      <c r="E128" s="19">
        <f>D128/D106*100</f>
        <v>0.06963307894623377</v>
      </c>
      <c r="F128" s="6">
        <f t="shared" si="15"/>
        <v>23.321299638989167</v>
      </c>
      <c r="G128" s="6">
        <f t="shared" si="12"/>
        <v>4.9692307692307685</v>
      </c>
      <c r="H128" s="6">
        <f t="shared" si="16"/>
        <v>106.2</v>
      </c>
      <c r="I128" s="6">
        <f t="shared" si="14"/>
        <v>617.7</v>
      </c>
    </row>
    <row r="129" spans="1:9" s="2" customFormat="1" ht="35.25" customHeight="1">
      <c r="A129" s="17" t="s">
        <v>71</v>
      </c>
      <c r="B129" s="80">
        <v>156.7</v>
      </c>
      <c r="C129" s="60">
        <f>171.5+14.8</f>
        <v>186.3</v>
      </c>
      <c r="D129" s="83">
        <f>5.6+5.6+3.5+1.3</f>
        <v>16</v>
      </c>
      <c r="E129" s="19">
        <f>D129/D106*100</f>
        <v>0.03449316604147803</v>
      </c>
      <c r="F129" s="6">
        <f t="shared" si="15"/>
        <v>10.21059349074665</v>
      </c>
      <c r="G129" s="6">
        <f t="shared" si="12"/>
        <v>8.588298443370906</v>
      </c>
      <c r="H129" s="6">
        <f t="shared" si="16"/>
        <v>140.7</v>
      </c>
      <c r="I129" s="6">
        <f t="shared" si="14"/>
        <v>170.3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265.1</v>
      </c>
      <c r="I131" s="6">
        <f t="shared" si="14"/>
        <v>265.1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v>324.2</v>
      </c>
      <c r="C133" s="60">
        <f>981.9+3.8</f>
        <v>985.6999999999999</v>
      </c>
      <c r="D133" s="83">
        <f>21.9+41.8+0.1+6.1+26+3.6+0.1+41-0.1+21.3+6.2+7.1+43.4+4.5+8.8</f>
        <v>231.79999999999998</v>
      </c>
      <c r="E133" s="19">
        <f>D133/D106*100</f>
        <v>0.499719743025913</v>
      </c>
      <c r="F133" s="6">
        <f t="shared" si="15"/>
        <v>71.49907464528069</v>
      </c>
      <c r="G133" s="6">
        <f t="shared" si="12"/>
        <v>23.51628284467891</v>
      </c>
      <c r="H133" s="6">
        <f t="shared" si="16"/>
        <v>92.4</v>
      </c>
      <c r="I133" s="6">
        <f t="shared" si="14"/>
        <v>753.9</v>
      </c>
    </row>
    <row r="134" spans="1:9" s="39" customFormat="1" ht="18">
      <c r="A134" s="40" t="s">
        <v>54</v>
      </c>
      <c r="B134" s="81">
        <v>267</v>
      </c>
      <c r="C134" s="51">
        <v>848.7</v>
      </c>
      <c r="D134" s="82">
        <f>21.9+39.7+0.1+6.1+19+41-0.1+21.3+43.3+8.5</f>
        <v>200.8</v>
      </c>
      <c r="E134" s="1">
        <f>D134/D133*100</f>
        <v>86.62640207075066</v>
      </c>
      <c r="F134" s="1">
        <f aca="true" t="shared" si="17" ref="F134:F141">D134/B134*100</f>
        <v>75.2059925093633</v>
      </c>
      <c r="G134" s="1">
        <f t="shared" si="12"/>
        <v>23.659714858018148</v>
      </c>
      <c r="H134" s="1">
        <f t="shared" si="16"/>
        <v>66.19999999999999</v>
      </c>
      <c r="I134" s="1">
        <f t="shared" si="14"/>
        <v>647.9000000000001</v>
      </c>
    </row>
    <row r="135" spans="1:9" s="39" customFormat="1" ht="18">
      <c r="A135" s="29" t="s">
        <v>33</v>
      </c>
      <c r="B135" s="81">
        <v>20.9</v>
      </c>
      <c r="C135" s="51">
        <v>26.3</v>
      </c>
      <c r="D135" s="82">
        <f>7+6+0.2</f>
        <v>13.2</v>
      </c>
      <c r="E135" s="1">
        <f>D135/D133*100</f>
        <v>5.694564279551337</v>
      </c>
      <c r="F135" s="1">
        <f t="shared" si="17"/>
        <v>63.1578947368421</v>
      </c>
      <c r="G135" s="1">
        <f>D135/C135*100</f>
        <v>50.19011406844106</v>
      </c>
      <c r="H135" s="1">
        <f t="shared" si="16"/>
        <v>7.699999999999999</v>
      </c>
      <c r="I135" s="1">
        <f t="shared" si="14"/>
        <v>13.100000000000001</v>
      </c>
    </row>
    <row r="136" spans="1:9" s="2" customFormat="1" ht="56.25">
      <c r="A136" s="124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2100</v>
      </c>
      <c r="C137" s="60">
        <v>6500</v>
      </c>
      <c r="D137" s="83">
        <f>241.3</f>
        <v>241.3</v>
      </c>
      <c r="E137" s="19">
        <f>D137/D106*100</f>
        <v>0.5202000603630406</v>
      </c>
      <c r="F137" s="113">
        <f t="shared" si="17"/>
        <v>11.49047619047619</v>
      </c>
      <c r="G137" s="6">
        <f t="shared" si="12"/>
        <v>3.7123076923076925</v>
      </c>
      <c r="H137" s="6">
        <f t="shared" si="16"/>
        <v>1858.7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1268.3</v>
      </c>
      <c r="C138" s="60">
        <v>6082.6</v>
      </c>
      <c r="D138" s="83">
        <f>626.1+43.8+40.3</f>
        <v>710.1999999999999</v>
      </c>
      <c r="E138" s="19">
        <f>D138/D106*100</f>
        <v>1.5310654076661059</v>
      </c>
      <c r="F138" s="113">
        <f t="shared" si="17"/>
        <v>55.99621540644958</v>
      </c>
      <c r="G138" s="6">
        <f t="shared" si="12"/>
        <v>11.675928057080851</v>
      </c>
      <c r="H138" s="6">
        <f t="shared" si="16"/>
        <v>558.1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4.514293105678437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</f>
        <v>523.2</v>
      </c>
      <c r="E140" s="19">
        <f>D140/D106*100</f>
        <v>1.1279265295563317</v>
      </c>
      <c r="F140" s="113">
        <f t="shared" si="17"/>
        <v>97.2129319955407</v>
      </c>
      <c r="G140" s="6">
        <f t="shared" si="12"/>
        <v>97.2129319955407</v>
      </c>
      <c r="H140" s="6">
        <f t="shared" si="16"/>
        <v>15</v>
      </c>
      <c r="I140" s="6">
        <f t="shared" si="14"/>
        <v>15</v>
      </c>
      <c r="K140" s="45"/>
      <c r="L140" s="45"/>
    </row>
    <row r="141" spans="1:12" s="2" customFormat="1" ht="19.5" customHeight="1">
      <c r="A141" s="17" t="s">
        <v>65</v>
      </c>
      <c r="B141" s="80">
        <v>42695.5</v>
      </c>
      <c r="C141" s="60">
        <v>91632.1</v>
      </c>
      <c r="D141" s="83">
        <f>500.9+20883.8+13804</f>
        <v>35188.7</v>
      </c>
      <c r="E141" s="19">
        <f>D141/D106*100</f>
        <v>75.86060449273488</v>
      </c>
      <c r="F141" s="6">
        <f t="shared" si="17"/>
        <v>82.41781920811326</v>
      </c>
      <c r="G141" s="6">
        <f t="shared" si="12"/>
        <v>38.40215383037167</v>
      </c>
      <c r="H141" s="6">
        <f t="shared" si="16"/>
        <v>7506.800000000003</v>
      </c>
      <c r="I141" s="6">
        <f t="shared" si="14"/>
        <v>56443.40000000001</v>
      </c>
      <c r="K141" s="103"/>
      <c r="L141" s="45"/>
    </row>
    <row r="142" spans="1:12" s="2" customFormat="1" ht="18.75">
      <c r="A142" s="17" t="s">
        <v>103</v>
      </c>
      <c r="B142" s="80">
        <v>7421.2</v>
      </c>
      <c r="C142" s="60">
        <v>22263.4</v>
      </c>
      <c r="D142" s="83">
        <f>1236.9+618.4+618.4+618.4+618.5+618.4+618.4+618.5</f>
        <v>5565.9</v>
      </c>
      <c r="E142" s="19">
        <f>D142/D106*100</f>
        <v>11.99909455439141</v>
      </c>
      <c r="F142" s="6">
        <f t="shared" si="15"/>
        <v>75</v>
      </c>
      <c r="G142" s="6">
        <f t="shared" si="12"/>
        <v>25.00022458384613</v>
      </c>
      <c r="H142" s="6">
        <f t="shared" si="16"/>
        <v>1855.3000000000002</v>
      </c>
      <c r="I142" s="6">
        <f t="shared" si="14"/>
        <v>16697.5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67833</v>
      </c>
      <c r="C143" s="84">
        <f>C43+C68+C71+C76+C78+C86+C101+C106+C99+C83+C97</f>
        <v>165070.59999999998</v>
      </c>
      <c r="D143" s="60">
        <f>D43+D68+D71+D76+D78+D86+D101+D106+D99+D83+D97</f>
        <v>47778.2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306128.89999999997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224474.40000000002</v>
      </c>
      <c r="E144" s="38">
        <v>100</v>
      </c>
      <c r="F144" s="3">
        <f>D144/B144*100</f>
        <v>73.32675876077039</v>
      </c>
      <c r="G144" s="3">
        <f aca="true" t="shared" si="18" ref="G144:G150">D144/C144*100</f>
        <v>25.04783622269921</v>
      </c>
      <c r="H144" s="3">
        <f aca="true" t="shared" si="19" ref="H144:H150">B144-D144</f>
        <v>81654.49999999994</v>
      </c>
      <c r="I144" s="3">
        <f aca="true" t="shared" si="20" ref="I144:I150">C144-D144</f>
        <v>671708.3999999999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158239.5</v>
      </c>
      <c r="C145" s="67">
        <f>C8+C20+C34+C52+C59+C90+C114+C118+C46+C134</f>
        <v>507335.6</v>
      </c>
      <c r="D145" s="67">
        <f>D8+D20+D34+D52+D59+D90+D114+D118+D46+D134</f>
        <v>115882.3</v>
      </c>
      <c r="E145" s="6">
        <f>D145/D144*100</f>
        <v>51.62383772938027</v>
      </c>
      <c r="F145" s="6">
        <f aca="true" t="shared" si="21" ref="F145:F156">D145/B145*100</f>
        <v>73.23222077926181</v>
      </c>
      <c r="G145" s="6">
        <f t="shared" si="18"/>
        <v>22.841349986084165</v>
      </c>
      <c r="H145" s="6">
        <f t="shared" si="19"/>
        <v>42357.2</v>
      </c>
      <c r="I145" s="18">
        <f t="shared" si="20"/>
        <v>391453.3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35939.9</v>
      </c>
      <c r="C146" s="68">
        <f>C11+C23+C36+C55+C61+C91+C49+C135+C108+C111+C95+C132</f>
        <v>96347.79999999999</v>
      </c>
      <c r="D146" s="68">
        <f>D11+D23+D36+D55+D61+D91+D49+D135+D108+D111+D95+D132</f>
        <v>26910.49999999999</v>
      </c>
      <c r="E146" s="6">
        <f>D146/D144*100</f>
        <v>11.988226719839762</v>
      </c>
      <c r="F146" s="6">
        <f t="shared" si="21"/>
        <v>74.8763908636362</v>
      </c>
      <c r="G146" s="6">
        <f t="shared" si="18"/>
        <v>27.930580667124723</v>
      </c>
      <c r="H146" s="6">
        <f t="shared" si="19"/>
        <v>9029.400000000012</v>
      </c>
      <c r="I146" s="18">
        <f t="shared" si="20"/>
        <v>69437.3</v>
      </c>
      <c r="K146" s="46"/>
      <c r="L146" s="102"/>
    </row>
    <row r="147" spans="1:12" ht="18.75">
      <c r="A147" s="23" t="s">
        <v>1</v>
      </c>
      <c r="B147" s="67">
        <f>B22+B10+B54+B48+B60+B35+B102+B122</f>
        <v>9269.1</v>
      </c>
      <c r="C147" s="67">
        <f>C22+C10+C54+C48+C60+C35+C102+C122</f>
        <v>25686.8</v>
      </c>
      <c r="D147" s="67">
        <f>D22+D10+D54+D48+D60+D35+D102+D122</f>
        <v>5683.6</v>
      </c>
      <c r="E147" s="6">
        <f>D147/D144*100</f>
        <v>2.5319591009041567</v>
      </c>
      <c r="F147" s="6">
        <f t="shared" si="21"/>
        <v>61.31771153617935</v>
      </c>
      <c r="G147" s="6">
        <f t="shared" si="18"/>
        <v>22.126539701325196</v>
      </c>
      <c r="H147" s="6">
        <f t="shared" si="19"/>
        <v>3585.5</v>
      </c>
      <c r="I147" s="18">
        <f t="shared" si="20"/>
        <v>20003.199999999997</v>
      </c>
      <c r="K147" s="46"/>
      <c r="L147" s="47"/>
    </row>
    <row r="148" spans="1:12" ht="21" customHeight="1">
      <c r="A148" s="23" t="s">
        <v>15</v>
      </c>
      <c r="B148" s="67">
        <f>B12+B24+B103+B62+B38+B92</f>
        <v>2930.5</v>
      </c>
      <c r="C148" s="67">
        <f>C12+C24+C103+C62+C38+C92</f>
        <v>14613.3</v>
      </c>
      <c r="D148" s="67">
        <f>D12+D24+D103+D62+D38+D92</f>
        <v>1379.1000000000001</v>
      </c>
      <c r="E148" s="6">
        <f>D148/D144*100</f>
        <v>0.614368498145</v>
      </c>
      <c r="F148" s="6">
        <f t="shared" si="21"/>
        <v>47.060228629926634</v>
      </c>
      <c r="G148" s="6">
        <f t="shared" si="18"/>
        <v>9.437293424483178</v>
      </c>
      <c r="H148" s="6">
        <f t="shared" si="19"/>
        <v>1551.3999999999999</v>
      </c>
      <c r="I148" s="18">
        <f t="shared" si="20"/>
        <v>13234.199999999999</v>
      </c>
      <c r="K148" s="46"/>
      <c r="L148" s="102"/>
    </row>
    <row r="149" spans="1:12" ht="18.75">
      <c r="A149" s="23" t="s">
        <v>2</v>
      </c>
      <c r="B149" s="67">
        <f>B9+B21+B47+B53+B121</f>
        <v>2613.2000000000003</v>
      </c>
      <c r="C149" s="67">
        <f>C9+C21+C47+C53+C121</f>
        <v>12618.400000000001</v>
      </c>
      <c r="D149" s="67">
        <f>D9+D21+D47+D53+D121</f>
        <v>2022.4999999999998</v>
      </c>
      <c r="E149" s="6">
        <f>D149/D144*100</f>
        <v>0.9009936099617594</v>
      </c>
      <c r="F149" s="6">
        <f t="shared" si="21"/>
        <v>77.39553038420325</v>
      </c>
      <c r="G149" s="6">
        <f t="shared" si="18"/>
        <v>16.02818106891523</v>
      </c>
      <c r="H149" s="6">
        <f t="shared" si="19"/>
        <v>590.7000000000005</v>
      </c>
      <c r="I149" s="18">
        <f t="shared" si="20"/>
        <v>10595.900000000001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97136.69999999997</v>
      </c>
      <c r="C150" s="67">
        <f>C144-C145-C146-C147-C148-C149</f>
        <v>239580.9</v>
      </c>
      <c r="D150" s="67">
        <f>D144-D145-D146-D147-D148-D149</f>
        <v>72596.40000000002</v>
      </c>
      <c r="E150" s="6">
        <f>D150/D144*100</f>
        <v>32.34061434176905</v>
      </c>
      <c r="F150" s="6">
        <f t="shared" si="21"/>
        <v>74.73632519943548</v>
      </c>
      <c r="G150" s="43">
        <f t="shared" si="18"/>
        <v>30.301413843924962</v>
      </c>
      <c r="H150" s="6">
        <f t="shared" si="19"/>
        <v>24540.299999999945</v>
      </c>
      <c r="I150" s="6">
        <f t="shared" si="20"/>
        <v>166984.49999999997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288.1+1522.4+951.8+530.2+8.8+0.5+0.1</f>
        <v>3301.9</v>
      </c>
      <c r="E152" s="15"/>
      <c r="F152" s="6">
        <f t="shared" si="21"/>
        <v>100</v>
      </c>
      <c r="G152" s="6">
        <f aca="true" t="shared" si="22" ref="G152:G161">D152/C152*100</f>
        <v>100</v>
      </c>
      <c r="H152" s="6">
        <f>B152-D152</f>
        <v>0</v>
      </c>
      <c r="I152" s="6">
        <f aca="true" t="shared" si="23" ref="I152:I161">C152-D152</f>
        <v>0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44117.7+550+6906.8+600</f>
        <v>52174.5</v>
      </c>
      <c r="C154" s="67">
        <v>105956.2</v>
      </c>
      <c r="D154" s="67">
        <f>72+2507+500.9+784.3+577.6+1236.9+2501.8+375+180.7+310.2-4.2+554.9+23.5+182.4</f>
        <v>9803</v>
      </c>
      <c r="E154" s="6"/>
      <c r="F154" s="6">
        <f t="shared" si="21"/>
        <v>18.7888719585238</v>
      </c>
      <c r="G154" s="6">
        <f t="shared" si="22"/>
        <v>9.251936177401605</v>
      </c>
      <c r="H154" s="6">
        <f t="shared" si="24"/>
        <v>42371.5</v>
      </c>
      <c r="I154" s="6">
        <f t="shared" si="23"/>
        <v>96153.2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f>4+1348.8</f>
        <v>1352.8</v>
      </c>
      <c r="C156" s="67">
        <f>54+13623.4</f>
        <v>13677.4</v>
      </c>
      <c r="D156" s="67"/>
      <c r="E156" s="19"/>
      <c r="F156" s="6">
        <f t="shared" si="21"/>
        <v>0</v>
      </c>
      <c r="G156" s="6">
        <f t="shared" si="22"/>
        <v>0</v>
      </c>
      <c r="H156" s="6">
        <f t="shared" si="24"/>
        <v>1352.8</v>
      </c>
      <c r="I156" s="6">
        <f t="shared" si="23"/>
        <v>13677.4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f>100+1550</f>
        <v>1650</v>
      </c>
      <c r="C160" s="89">
        <v>3718.8</v>
      </c>
      <c r="D160" s="89">
        <f>98.8</f>
        <v>98.8</v>
      </c>
      <c r="E160" s="24"/>
      <c r="F160" s="6">
        <f>D160/B160*100</f>
        <v>5.987878787878788</v>
      </c>
      <c r="G160" s="6">
        <f t="shared" si="22"/>
        <v>2.6567710013983</v>
      </c>
      <c r="H160" s="6">
        <f t="shared" si="24"/>
        <v>1551.2</v>
      </c>
      <c r="I160" s="6">
        <f t="shared" si="23"/>
        <v>3620</v>
      </c>
    </row>
    <row r="161" spans="1:9" ht="19.5" thickBot="1">
      <c r="A161" s="14" t="s">
        <v>20</v>
      </c>
      <c r="B161" s="90">
        <f>B144+B152+B156+B157+B153+B160+B159+B154+B158+B155</f>
        <v>365606.69999999995</v>
      </c>
      <c r="C161" s="90">
        <f>C144+C152+C156+C157+C153+C160+C159+C154+C158+C155</f>
        <v>1025024.7</v>
      </c>
      <c r="D161" s="90">
        <f>D144+D152+D156+D157+D153+D160+D159+D154+D158+D155</f>
        <v>237693.5</v>
      </c>
      <c r="E161" s="25"/>
      <c r="F161" s="3">
        <f>D161/B161*100</f>
        <v>65.01344204031273</v>
      </c>
      <c r="G161" s="3">
        <f t="shared" si="22"/>
        <v>23.18905095652817</v>
      </c>
      <c r="H161" s="3">
        <f>B161-D161</f>
        <v>127913.19999999995</v>
      </c>
      <c r="I161" s="3">
        <f t="shared" si="23"/>
        <v>787331.2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224474.40000000002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224474.40000000002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2015-03-31T07:40:44Z</cp:lastPrinted>
  <dcterms:created xsi:type="dcterms:W3CDTF">2000-06-20T04:48:00Z</dcterms:created>
  <dcterms:modified xsi:type="dcterms:W3CDTF">2015-04-08T05:07:55Z</dcterms:modified>
  <cp:category/>
  <cp:version/>
  <cp:contentType/>
  <cp:contentStatus/>
</cp:coreProperties>
</file>